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R\Downloads\Relatório de Gestão 2022\"/>
    </mc:Choice>
  </mc:AlternateContent>
  <xr:revisionPtr revIDLastSave="0" documentId="13_ncr:1_{19D49DB5-6267-4795-BE34-4DAC73A24D35}" xr6:coauthVersionLast="47" xr6:coauthVersionMax="47" xr10:uidLastSave="{00000000-0000-0000-0000-000000000000}"/>
  <bookViews>
    <workbookView xWindow="-120" yWindow="-120" windowWidth="24240" windowHeight="13140" tabRatio="500" firstSheet="1" activeTab="3" xr2:uid="{00000000-000D-0000-FFFF-FFFF00000000}"/>
  </bookViews>
  <sheets>
    <sheet name="Síntese Biblioteca " sheetId="1" r:id="rId1"/>
    <sheet name="Acervo" sheetId="2" r:id="rId2"/>
    <sheet name="Circulação" sheetId="3" r:id="rId3"/>
    <sheet name="Capacitação" sheetId="4" r:id="rId4"/>
    <sheet name="Atualização e Desenvolvimento " sheetId="5" r:id="rId5"/>
    <sheet name="Contingência" sheetId="6" r:id="rId6"/>
    <sheet name="PDI 2019-2024" sheetId="7" r:id="rId7"/>
    <sheet name="Planilha1" sheetId="8" r:id="rId8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2" l="1"/>
  <c r="B18" i="2"/>
  <c r="B20" i="2"/>
  <c r="B19" i="3"/>
  <c r="B18" i="3"/>
  <c r="F21" i="1"/>
  <c r="F20" i="1"/>
  <c r="F18" i="1"/>
  <c r="F19" i="1"/>
  <c r="C24" i="1"/>
  <c r="D24" i="1"/>
  <c r="E24" i="1"/>
  <c r="E23" i="1" s="1"/>
  <c r="F24" i="1"/>
  <c r="B24" i="1"/>
  <c r="B23" i="1" s="1"/>
  <c r="F41" i="1"/>
  <c r="E41" i="1"/>
  <c r="C40" i="1"/>
  <c r="F35" i="1"/>
  <c r="E35" i="1"/>
  <c r="D35" i="1"/>
  <c r="C35" i="1"/>
  <c r="B35" i="1"/>
  <c r="E21" i="1"/>
  <c r="E20" i="1"/>
  <c r="E19" i="1"/>
  <c r="E18" i="1"/>
  <c r="D21" i="1"/>
  <c r="D20" i="1"/>
  <c r="D19" i="1"/>
  <c r="D18" i="1"/>
  <c r="D17" i="1" s="1"/>
  <c r="C21" i="1"/>
  <c r="C20" i="1"/>
  <c r="C19" i="1"/>
  <c r="C18" i="1"/>
  <c r="B21" i="1"/>
  <c r="B20" i="1"/>
  <c r="B19" i="1"/>
  <c r="B18" i="1"/>
  <c r="F15" i="1"/>
  <c r="E15" i="1"/>
  <c r="D15" i="1"/>
  <c r="C15" i="1"/>
  <c r="C14" i="1" s="1"/>
  <c r="B15" i="1"/>
  <c r="F34" i="1"/>
  <c r="E34" i="1"/>
  <c r="D34" i="1"/>
  <c r="C34" i="1"/>
  <c r="B34" i="1"/>
  <c r="B17" i="1"/>
  <c r="F38" i="1"/>
  <c r="F37" i="1"/>
  <c r="F40" i="1"/>
  <c r="B40" i="1"/>
  <c r="E36" i="1"/>
  <c r="F36" i="1"/>
  <c r="E37" i="1"/>
  <c r="D36" i="1"/>
  <c r="C37" i="1"/>
  <c r="C36" i="1"/>
  <c r="B37" i="1"/>
  <c r="B36" i="1"/>
  <c r="E14" i="1"/>
  <c r="D14" i="1"/>
  <c r="B14" i="1"/>
  <c r="B15" i="3"/>
  <c r="B16" i="3"/>
  <c r="B17" i="3"/>
  <c r="B20" i="3"/>
  <c r="B21" i="3"/>
  <c r="B14" i="3"/>
  <c r="C16" i="2"/>
  <c r="B17" i="2"/>
  <c r="B16" i="2"/>
  <c r="F14" i="1"/>
  <c r="E39" i="1"/>
  <c r="D39" i="1"/>
  <c r="C39" i="1"/>
  <c r="B39" i="1"/>
  <c r="F23" i="1"/>
  <c r="D23" i="1"/>
  <c r="C23" i="1"/>
  <c r="D33" i="1" l="1"/>
  <c r="E17" i="1"/>
  <c r="F39" i="1"/>
  <c r="E33" i="1"/>
  <c r="C33" i="1"/>
  <c r="F17" i="1"/>
  <c r="C17" i="1"/>
  <c r="B33" i="1"/>
  <c r="F33" i="1"/>
</calcChain>
</file>

<file path=xl/sharedStrings.xml><?xml version="1.0" encoding="utf-8"?>
<sst xmlns="http://schemas.openxmlformats.org/spreadsheetml/2006/main" count="171" uniqueCount="118">
  <si>
    <t>UNIVERSIDADE FEDERAL DE RONDÔNIA</t>
  </si>
  <si>
    <t>PRÓ-REITORIA DE PLANEJAMENTO</t>
  </si>
  <si>
    <t>DIRETORIA DE PLANEJAMENTO, DESENVOLVIMENTO E INFORMAÇÃO</t>
  </si>
  <si>
    <t>LEVANTAMENTO DE INFORMAÇÕES PARA RELATÓRIO DE GESTÃO ANO-BASE 2022</t>
  </si>
  <si>
    <t>SÍNTESE EVOLUTIVA - BIBLIOTECA</t>
  </si>
  <si>
    <t>Responsável pelas informações:</t>
  </si>
  <si>
    <t>Fonte:</t>
  </si>
  <si>
    <t>Síntese Evolutiva - Biblioteca</t>
  </si>
  <si>
    <t>Item</t>
  </si>
  <si>
    <t>Atendimento ao Público - Empréstimo por tipo de material</t>
  </si>
  <si>
    <t>Livros</t>
  </si>
  <si>
    <t>Periódicos</t>
  </si>
  <si>
    <t>Atendimento ao Público - Empréstimo por usuário</t>
  </si>
  <si>
    <t>Estudante - Graduação</t>
  </si>
  <si>
    <t>Estudante - Pós-graduação</t>
  </si>
  <si>
    <t>Técnico Administrativo em Educação</t>
  </si>
  <si>
    <t>Docentes</t>
  </si>
  <si>
    <t>Usuários externos</t>
  </si>
  <si>
    <t>Número de Assentos</t>
  </si>
  <si>
    <t xml:space="preserve">Biblioteca Central </t>
  </si>
  <si>
    <t>Biblioteca Prof. Roberto Duarte Pires</t>
  </si>
  <si>
    <t>Biblioteca Setorial do Campus de Guajará Mirim</t>
  </si>
  <si>
    <t>Biblioteca Prof. Gerson Flôres Nascimento</t>
  </si>
  <si>
    <t>Biblioteca Setorial do Campus de Ji-Paraná</t>
  </si>
  <si>
    <t>Biblioteca Setorial Engenheiro de Pesca "Mário Lima"</t>
  </si>
  <si>
    <t>Biblioteca Setorial "Dhiego Albares Passamani"</t>
  </si>
  <si>
    <t>Biblioteca Setorial "Fernando Pessoa"</t>
  </si>
  <si>
    <t>Biblioteca "Paulo Freire"</t>
  </si>
  <si>
    <t>Acervo</t>
  </si>
  <si>
    <t>Periódicos Impressos</t>
  </si>
  <si>
    <t>Livros Impressos</t>
  </si>
  <si>
    <t>Títulos de outros materiais</t>
  </si>
  <si>
    <t>Periódicos Eletrônicos</t>
  </si>
  <si>
    <t>Livros eletrônicos</t>
  </si>
  <si>
    <t>Treinamentos realizados</t>
  </si>
  <si>
    <t>Presenciais</t>
  </si>
  <si>
    <t>A distância</t>
  </si>
  <si>
    <r>
      <rPr>
        <sz val="11"/>
        <color rgb="FF000000"/>
        <rFont val="Calibri"/>
        <family val="2"/>
        <charset val="1"/>
      </rPr>
      <t>1. O formulário deverá ser preenchido e encaminhado, até</t>
    </r>
    <r>
      <rPr>
        <b/>
        <sz val="11"/>
        <color rgb="FFFF0000"/>
        <rFont val="Calibri"/>
        <family val="2"/>
        <charset val="1"/>
      </rPr>
      <t xml:space="preserve"> 13/01,</t>
    </r>
    <r>
      <rPr>
        <sz val="11"/>
        <color rgb="FF000000"/>
        <rFont val="Calibri"/>
        <family val="2"/>
        <charset val="1"/>
      </rPr>
      <t xml:space="preserve"> para relatoriodegestao@unir.br</t>
    </r>
  </si>
  <si>
    <t>2. Todos os campos deverão ser preenchidos ainda que com valor zero.</t>
  </si>
  <si>
    <t>ACERVO - BIBLIOTECA</t>
  </si>
  <si>
    <t>Acerco do SIBI / UNIR por tipo de material 2022</t>
  </si>
  <si>
    <t>Tipo de Material</t>
  </si>
  <si>
    <t>Biblioteca Setorial Ariquemes</t>
  </si>
  <si>
    <t>Biblioteca Setorial Cacoal</t>
  </si>
  <si>
    <t>Biblioteca Setorial Ji-Paraná</t>
  </si>
  <si>
    <t>Biblioteca Setorial Guajará-Mirim</t>
  </si>
  <si>
    <t>Biblioteca Setorial Presidente Médici</t>
  </si>
  <si>
    <t>Biblioteca Setorial Rolim de Moura</t>
  </si>
  <si>
    <t>Biblioteca Setorial Vilhena</t>
  </si>
  <si>
    <t>Títulos</t>
  </si>
  <si>
    <t>Exemplares</t>
  </si>
  <si>
    <t>Livros impressos</t>
  </si>
  <si>
    <t>Periódicos impressos</t>
  </si>
  <si>
    <t>Periódicos eletrônicos</t>
  </si>
  <si>
    <t>Multimeios</t>
  </si>
  <si>
    <t>CIRCULAÇÃO - BIBLIOTECA</t>
  </si>
  <si>
    <t>Circulação do SIBI / UNIR por tipo de treinamento 2022</t>
  </si>
  <si>
    <t xml:space="preserve">Tipo </t>
  </si>
  <si>
    <t xml:space="preserve">Empréstimos  </t>
  </si>
  <si>
    <t xml:space="preserve">Devoluções </t>
  </si>
  <si>
    <t>Renovações</t>
  </si>
  <si>
    <t>Dias de funcionamento/ano</t>
  </si>
  <si>
    <t>Frequência média diária</t>
  </si>
  <si>
    <t>Frequência média anual</t>
  </si>
  <si>
    <t>Empréstimos entre bibliotecas</t>
  </si>
  <si>
    <t xml:space="preserve">Usuários cadastrados </t>
  </si>
  <si>
    <t>Fichas catalográficas</t>
  </si>
  <si>
    <t>CAPACITAÇÃO- BIBLIOTECA</t>
  </si>
  <si>
    <t>Capacitação de usuários do SIBI / UNIR por tipo de treinamento 2022</t>
  </si>
  <si>
    <t>Tipo de Treinamento</t>
  </si>
  <si>
    <t>Número de  Treinamentos</t>
  </si>
  <si>
    <t>Número de Participantes</t>
  </si>
  <si>
    <t>Plano de atualização e desenvolvimento do acervo.</t>
  </si>
  <si>
    <t>Plano de Atualização e Desenvolvimento do Acervo</t>
  </si>
  <si>
    <t>Descrever as ações desenvolvidas para elaboração de plano de atualização e de desenvolvimento do acervo</t>
  </si>
  <si>
    <t>Plano de Contingência do Acervo</t>
  </si>
  <si>
    <t>Objetivos, Indicadores e Metas - PDI 2019-2024</t>
  </si>
  <si>
    <t>Responsável: Proplan</t>
  </si>
  <si>
    <t>Tema: Bibliotecas</t>
  </si>
  <si>
    <t>Eixo</t>
  </si>
  <si>
    <t>Objetivo Estratégico</t>
  </si>
  <si>
    <t>Indicador</t>
  </si>
  <si>
    <t>Meta</t>
  </si>
  <si>
    <t>Início</t>
  </si>
  <si>
    <t>Fim</t>
  </si>
  <si>
    <t>Formação e desenvolvimento do acervo dos cursos com base nos PPC's.</t>
  </si>
  <si>
    <t>Número acervo das bibliografias básicas e complementares</t>
  </si>
  <si>
    <t>Elaborar plano de atualização e desenvolvimento do acervo.</t>
  </si>
  <si>
    <t>Elaborar de plano de contingência do acervo</t>
  </si>
  <si>
    <t>Ampliar acervo de ebooks.</t>
  </si>
  <si>
    <t>Realizar a contratação de fornecedor especializado no fornecimento de acervo físico e eletrônico</t>
  </si>
  <si>
    <t>Órgão Responsável: Biblioteca Central UNIR</t>
  </si>
  <si>
    <t>SIGAA/UNIR - Módulo Biblioteca (Ariquemes)</t>
  </si>
  <si>
    <t>Serviços biblioteca: Portal de periódicos CAPES e Ebooks EBSCO E SPRINGER (Ariquemes)</t>
  </si>
  <si>
    <t xml:space="preserve">Apresentação da Biblioteca: regras, produtos e serviços (Cacoal) </t>
  </si>
  <si>
    <t>Treinamento do Portal de Periódicos da CAPES (Cacoal)</t>
  </si>
  <si>
    <t>Como solicitar a Ficha catalográfica (Cacoal)</t>
  </si>
  <si>
    <t>80*</t>
  </si>
  <si>
    <t>Cadastro e acesso/uso aos serviços da Biblioteca (Vilhena)</t>
  </si>
  <si>
    <t>Como solicitar Ficha Catalográfica e Nada Consta (Vilhena)</t>
  </si>
  <si>
    <t>Orientação de acesso as Bibliotecas Digitais (Vilhena)</t>
  </si>
  <si>
    <t>Atendimento Educacional Especializado - Bolsistas Monitoria Especial (Vilhena)</t>
  </si>
  <si>
    <t>*Encaminhado via e-mail aos departamentos/docentes</t>
  </si>
  <si>
    <t>BIBLIOTECA SETORIAL DE CACOAL - Foi designada Comissão de Trabalho nomeada pela ORDEM DE SERVIÇO Nº 2/2020 para elaboração de um Plano de Atualização e Desenvolvimento de Coleção para o Sistema de Bibliotecas
da UNIR, além de contratar empresa especializada no fornecimento de acervo eletrônico, para formação e o desenvolvimento do acervo dos cursos com base nos PPC's. Articular e acompanhar a equipe de planejamento e demais unidades envolvidas nas providências referente aos processos: a) 23118.001659/2020-13 - Aquisição de livros eletrônicos e Contratação de serviços de acessos a livros eletrônicos (plataformas EBSCO/Minha Biblioteca/Pearson), b) 23118.002816/2020-16 - Assinatura de Licença para acesso à Base de Dados da Plataforma Visible body e Human Anatomy Atlas e c) 999119604.000089/2020-71 - Assinatura de Licença para acesso a Normas Técnicas da ABNT. Conforme previsto no Plano de Ação de 2021/2022.</t>
  </si>
  <si>
    <t xml:space="preserve">BIBLIOTECA SETORIAL DE JI PARANA - foram assinadas, via Biblioteca Central, Bibliotecas Virtuais com o objetivo de fornecer materiais eletrônicos para a composição e aprimoramento dos PPC’s dos cursos ofertados, assim como está em andamento o levantamento das bibliografias dos cursos de graduação para adequações necessárias tendo em vista essas novas aquisições. </t>
  </si>
  <si>
    <t xml:space="preserve">BIBLIOTECA SETORIAL DE VILHENA - Foi designada Comissão de Trabalho nomeada pela ORDEM DE SERVIÇO Nº 2/2020 para elaboração de um Plano de Atualização e Desenvolvimento de Coleção para o Sistema de Bibliotecas
da UNIR, além de contratar empresa especializada no fornecimento de acervo eletrônico, para formação e o desenvolvimento do acervo dos cursos com base nos PPC's. Articular r e acompanhar a equipe de planejamento e demais unidades envolvidas nas providências referente aos processos: a) 23118.001659/2020-13 - Aquisição de livros eletrônicos e Contratação de serviços de acessos a livros eletrônicos (plataformas EBSCO/Minha Biblioteca/Pearson), b) 23118.002816/2020-16 - Assinatura de Licença para acesso à Base de Dados da Plataforma Visible body e Human Anatomy Atlas e c) 999119604.000089/2020-71 - Assinatura de Licença para acesso a Normas Técnicas da ABNT. Conforme previsto no Plano de Ação de 2021/2022.
</t>
  </si>
  <si>
    <t>BIBLIOTECA SETORIAL DE CACOAL - O Plano de Contingência tem como objetivos identificar as necessidades, descrever os riscos, estabelecer ações preventivas e procedimentos que prolonguem a vida útil dos acervos, infraestrutura e instalações prediais, garantindo a plena segurança e satisfação dos recursos humanos e materiais, e a comunidade academica e externa. Foi designada uma comissão de bibliotecários para a elaboração do referido Plano de Contingência no que se refere a proteção, preservação e manutenção do acervo físico e virtual. Disponível em: https://abre.ai/fwrF</t>
  </si>
  <si>
    <t>* 49000 Periódicos CAPES comum ao SIBI/UNIR</t>
  </si>
  <si>
    <t>690*</t>
  </si>
  <si>
    <t>* ALUNOS MATRICULADOS NOS CURSOS</t>
  </si>
  <si>
    <t>BIBLIOTECA SETORIAL DE VILHENA - Para construção do Plano de Contingência deve-se levar em consideração as ameaças, vulnerabilidades, capacidades e recursos regionais e locais existentes para que o estudo do cenário de risco seja feito de acordo com as especificidades e realidades locais. Foi designada uma comissão de bibliotecários para a elaboração do referido Plano de Contingência - &lt;https://bibliotecacentral.unir.br/uploads/27147015/arquivos/Plano_de_contig_ncia_1288372016.pdf&gt; - no que se refere a proteção, preservação e manutenção do acervo físico e virtual.</t>
  </si>
  <si>
    <t>Órgão Responsável: Biblioteca Central</t>
  </si>
  <si>
    <t>Fonte: SIGAA</t>
  </si>
  <si>
    <t>Responsável pelas informações: Gerência de Atendimento ao Público /SIBI</t>
  </si>
  <si>
    <t>Responsável pelas informações: Gerência de Atendimento ao Público</t>
  </si>
  <si>
    <t>Responsável pelas informações: Gerênncia de Atendimanto ao Publico/SIBI</t>
  </si>
  <si>
    <t>de Atendimento ao Público/SIBI/UNIR</t>
  </si>
  <si>
    <t>Público/SIBI/UNIR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</si>
</sst>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d/m/yyyy"/>
  </numFmts>
  <fonts count="22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18"/>
      <color rgb="FF1C5438"/>
      <name val="Calibri"/>
      <family val="2"/>
      <charset val="1"/>
    </font>
    <font>
      <b/>
      <sz val="16"/>
      <color rgb="FF1C5438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5"/>
      <color indexed="64"/>
      <name val="Verdan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1E5E70"/>
        <bgColor rgb="FF1C5438"/>
      </patternFill>
    </fill>
    <fill>
      <patternFill patternType="solid">
        <fgColor rgb="FF2E8EA8"/>
        <bgColor rgb="FF008080"/>
      </patternFill>
    </fill>
    <fill>
      <patternFill patternType="solid">
        <fgColor rgb="FFFFFFFF"/>
        <bgColor rgb="FFEBF5D7"/>
      </patternFill>
    </fill>
    <fill>
      <patternFill patternType="solid">
        <fgColor rgb="FFB8E1EC"/>
        <bgColor rgb="FFD4F1E2"/>
      </patternFill>
    </fill>
    <fill>
      <patternFill patternType="solid">
        <fgColor rgb="FFEBF5D7"/>
        <bgColor rgb="FFDCF0F5"/>
      </patternFill>
    </fill>
    <fill>
      <patternFill patternType="solid">
        <fgColor rgb="FFDCF3FE"/>
        <bgColor rgb="FFDCF0F5"/>
      </patternFill>
    </fill>
    <fill>
      <patternFill patternType="solid">
        <fgColor rgb="FFD4F1E2"/>
        <bgColor rgb="FFDCF0F5"/>
      </patternFill>
    </fill>
    <fill>
      <patternFill patternType="solid">
        <fgColor rgb="FF066EA0"/>
        <bgColor rgb="FF008080"/>
      </patternFill>
    </fill>
    <fill>
      <patternFill patternType="solid">
        <fgColor indexed="65"/>
        <bgColor rgb="FFEBF5D7"/>
      </patternFill>
    </fill>
    <fill>
      <patternFill patternType="solid">
        <fgColor rgb="FFFFFFFF"/>
        <bgColor rgb="FFFFFFFF"/>
      </patternFill>
    </fill>
    <fill>
      <patternFill patternType="solid">
        <fgColor rgb="FFEBF5D7"/>
        <bgColor rgb="FFEBF5D7"/>
      </patternFill>
    </fill>
    <fill>
      <patternFill patternType="solid">
        <fgColor rgb="FFDCF3FE"/>
        <bgColor rgb="FFDCF3FE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rgb="FFDCF0F5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 style="thin">
        <color auto="1"/>
      </left>
      <right style="thin">
        <color rgb="FFDCF0F5"/>
      </right>
      <top/>
      <bottom style="thin">
        <color rgb="FFDCF0F5"/>
      </bottom>
      <diagonal/>
    </border>
    <border>
      <left style="thin">
        <color rgb="FFDCF0F5"/>
      </left>
      <right style="thin">
        <color rgb="FFDCF0F5"/>
      </right>
      <top/>
      <bottom style="thin">
        <color rgb="FFDCF0F5"/>
      </bottom>
      <diagonal/>
    </border>
    <border>
      <left/>
      <right style="thin">
        <color rgb="FFDCF0F5"/>
      </right>
      <top style="thin">
        <color rgb="FFDCF0F5"/>
      </top>
      <bottom style="thin">
        <color rgb="FFDCF0F5"/>
      </bottom>
      <diagonal/>
    </border>
    <border>
      <left style="thin">
        <color auto="1"/>
      </left>
      <right style="thin">
        <color rgb="FFDCF0F5"/>
      </right>
      <top style="thin">
        <color rgb="FFDCF0F5"/>
      </top>
      <bottom style="thin">
        <color rgb="FFDCF0F5"/>
      </bottom>
      <diagonal/>
    </border>
    <border>
      <left style="thin">
        <color rgb="FFDCF0F5"/>
      </left>
      <right style="thin">
        <color rgb="FFDCF0F5"/>
      </right>
      <top style="thin">
        <color rgb="FFDCF0F5"/>
      </top>
      <bottom style="thin">
        <color rgb="FFDCF0F5"/>
      </bottom>
      <diagonal/>
    </border>
    <border>
      <left/>
      <right/>
      <top/>
      <bottom style="thin">
        <color rgb="FFDCF0F5"/>
      </bottom>
      <diagonal/>
    </border>
    <border>
      <left style="thin">
        <color auto="1"/>
      </left>
      <right/>
      <top style="thin">
        <color auto="1"/>
      </top>
      <bottom style="medium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DCF3FE"/>
      </left>
      <right style="thin">
        <color rgb="FFDCF3FE"/>
      </right>
      <top style="thin">
        <color rgb="FFDCF3FE"/>
      </top>
      <bottom/>
      <diagonal/>
    </border>
    <border>
      <left style="thin">
        <color rgb="FFDCF3FE"/>
      </left>
      <right/>
      <top/>
      <bottom/>
      <diagonal/>
    </border>
    <border>
      <left/>
      <right style="thin">
        <color rgb="FFDCF3FE"/>
      </right>
      <top/>
      <bottom/>
      <diagonal/>
    </border>
    <border>
      <left style="thin">
        <color rgb="FFDCF3FE"/>
      </left>
      <right/>
      <top/>
      <bottom style="thin">
        <color rgb="FFDCF3FE"/>
      </bottom>
      <diagonal/>
    </border>
    <border>
      <left/>
      <right/>
      <top/>
      <bottom style="thin">
        <color rgb="FFDCF3FE"/>
      </bottom>
      <diagonal/>
    </border>
    <border>
      <left/>
      <right style="thin">
        <color rgb="FFDCF3FE"/>
      </right>
      <top/>
      <bottom style="thin">
        <color rgb="FFDCF3FE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DCF0F5"/>
      </right>
      <top style="thin">
        <color rgb="FFDCF0F5"/>
      </top>
      <bottom style="thin">
        <color rgb="FFDCF0F5"/>
      </bottom>
      <diagonal/>
    </border>
    <border>
      <left style="thin">
        <color theme="1"/>
      </left>
      <right style="thin">
        <color rgb="FFDCF0F5"/>
      </right>
      <top style="thin">
        <color rgb="FFDCF0F5"/>
      </top>
      <bottom style="thin">
        <color rgb="FFDCF0F5"/>
      </bottom>
      <diagonal/>
    </border>
  </borders>
  <cellStyleXfs count="3">
    <xf numFmtId="0" fontId="0" fillId="0" borderId="0"/>
    <xf numFmtId="0" fontId="10" fillId="0" borderId="0"/>
    <xf numFmtId="43" fontId="21" fillId="0" borderId="0" applyFont="0" applyFill="0" applyBorder="0" applyAlignment="0" applyProtection="0"/>
  </cellStyleXfs>
  <cellXfs count="103">
    <xf numFmtId="0" fontId="0" fillId="0" borderId="0" xfId="0"/>
    <xf numFmtId="0" fontId="8" fillId="5" borderId="2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 applyAlignment="1">
      <alignment horizontal="center"/>
    </xf>
    <xf numFmtId="0" fontId="0" fillId="4" borderId="6" xfId="0" applyFill="1" applyBorder="1"/>
    <xf numFmtId="0" fontId="0" fillId="4" borderId="5" xfId="0" applyFill="1" applyBorder="1" applyAlignment="1">
      <alignment horizontal="center"/>
    </xf>
    <xf numFmtId="0" fontId="0" fillId="4" borderId="4" xfId="0" applyFill="1" applyBorder="1"/>
    <xf numFmtId="0" fontId="2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0" borderId="9" xfId="0" applyBorder="1"/>
    <xf numFmtId="0" fontId="3" fillId="4" borderId="7" xfId="0" applyFont="1" applyFill="1" applyBorder="1"/>
    <xf numFmtId="0" fontId="0" fillId="0" borderId="7" xfId="0" applyBorder="1"/>
    <xf numFmtId="0" fontId="0" fillId="6" borderId="0" xfId="0" applyFill="1" applyAlignment="1">
      <alignment vertical="center"/>
    </xf>
    <xf numFmtId="0" fontId="0" fillId="6" borderId="0" xfId="0" applyFill="1"/>
    <xf numFmtId="0" fontId="2" fillId="4" borderId="0" xfId="0" applyFont="1" applyFill="1"/>
    <xf numFmtId="0" fontId="0" fillId="4" borderId="0" xfId="0" applyFill="1"/>
    <xf numFmtId="0" fontId="2" fillId="6" borderId="0" xfId="0" applyFont="1" applyFill="1"/>
    <xf numFmtId="0" fontId="1" fillId="7" borderId="15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0" fillId="8" borderId="0" xfId="0" applyFill="1"/>
    <xf numFmtId="0" fontId="6" fillId="0" borderId="0" xfId="0" applyFont="1"/>
    <xf numFmtId="0" fontId="7" fillId="0" borderId="0" xfId="0" applyFont="1"/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164" fontId="9" fillId="5" borderId="24" xfId="0" applyNumberFormat="1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10" fillId="10" borderId="8" xfId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0" xfId="0" applyFont="1" applyFill="1"/>
    <xf numFmtId="0" fontId="11" fillId="11" borderId="0" xfId="0" applyFont="1" applyFill="1" applyAlignment="1">
      <alignment horizontal="right"/>
    </xf>
    <xf numFmtId="3" fontId="11" fillId="11" borderId="0" xfId="0" applyNumberFormat="1" applyFont="1" applyFill="1"/>
    <xf numFmtId="0" fontId="0" fillId="10" borderId="0" xfId="0" applyFill="1"/>
    <xf numFmtId="3" fontId="0" fillId="10" borderId="0" xfId="0" applyNumberFormat="1" applyFill="1"/>
    <xf numFmtId="3" fontId="0" fillId="4" borderId="0" xfId="0" applyNumberFormat="1" applyFill="1"/>
    <xf numFmtId="3" fontId="11" fillId="11" borderId="0" xfId="0" applyNumberFormat="1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3" fontId="11" fillId="11" borderId="0" xfId="0" applyNumberFormat="1" applyFon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0" fontId="14" fillId="4" borderId="0" xfId="0" applyFont="1" applyFill="1"/>
    <xf numFmtId="0" fontId="11" fillId="11" borderId="25" xfId="0" applyFont="1" applyFill="1" applyBorder="1"/>
    <xf numFmtId="0" fontId="0" fillId="10" borderId="26" xfId="0" applyFill="1" applyBorder="1"/>
    <xf numFmtId="0" fontId="11" fillId="11" borderId="6" xfId="0" applyFont="1" applyFill="1" applyBorder="1" applyAlignment="1">
      <alignment horizontal="center" vertical="center"/>
    </xf>
    <xf numFmtId="0" fontId="12" fillId="12" borderId="0" xfId="0" applyFont="1" applyFill="1"/>
    <xf numFmtId="0" fontId="14" fillId="11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11" borderId="5" xfId="0" applyFont="1" applyFill="1" applyBorder="1" applyAlignment="1">
      <alignment horizontal="center"/>
    </xf>
    <xf numFmtId="3" fontId="14" fillId="11" borderId="5" xfId="0" applyNumberFormat="1" applyFont="1" applyFill="1" applyBorder="1" applyAlignment="1">
      <alignment horizontal="center"/>
    </xf>
    <xf numFmtId="0" fontId="14" fillId="0" borderId="8" xfId="0" applyFont="1" applyBorder="1"/>
    <xf numFmtId="0" fontId="14" fillId="0" borderId="0" xfId="0" applyFont="1"/>
    <xf numFmtId="0" fontId="0" fillId="10" borderId="6" xfId="0" applyFill="1" applyBorder="1" applyAlignment="1">
      <alignment horizontal="center" vertical="center"/>
    </xf>
    <xf numFmtId="43" fontId="0" fillId="4" borderId="0" xfId="2" applyFont="1" applyFill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3" fontId="13" fillId="10" borderId="0" xfId="0" applyNumberFormat="1" applyFont="1" applyFill="1" applyAlignment="1">
      <alignment horizontal="right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5" fillId="7" borderId="16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16" fillId="13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wrapText="1"/>
    </xf>
    <xf numFmtId="0" fontId="19" fillId="7" borderId="0" xfId="0" applyFont="1" applyFill="1" applyAlignment="1">
      <alignment horizontal="center" wrapText="1"/>
    </xf>
    <xf numFmtId="0" fontId="19" fillId="7" borderId="16" xfId="0" applyFont="1" applyFill="1" applyBorder="1" applyAlignment="1">
      <alignment horizontal="center" wrapText="1"/>
    </xf>
    <xf numFmtId="0" fontId="18" fillId="7" borderId="0" xfId="0" applyFont="1" applyFill="1" applyAlignment="1">
      <alignment horizontal="center" wrapText="1"/>
    </xf>
    <xf numFmtId="0" fontId="18" fillId="7" borderId="16" xfId="0" applyFont="1" applyFill="1" applyBorder="1" applyAlignment="1">
      <alignment horizont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A65A73-E134-47AC-B41D-46E2FD6B6387}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E5E70"/>
      <rgbColor rgb="FFC0C0C0"/>
      <rgbColor rgb="FF808080"/>
      <rgbColor rgb="FF9999FF"/>
      <rgbColor rgb="FF993366"/>
      <rgbColor rgb="FFEBF5D7"/>
      <rgbColor rgb="FFDCF3FE"/>
      <rgbColor rgb="FF660066"/>
      <rgbColor rgb="FFFF8080"/>
      <rgbColor rgb="FF066EA0"/>
      <rgbColor rgb="FFB8E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F0F5"/>
      <rgbColor rgb="FFD4F1E2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E8EA8"/>
      <rgbColor rgb="FF003300"/>
      <rgbColor rgb="FF333300"/>
      <rgbColor rgb="FF993300"/>
      <rgbColor rgb="FF993366"/>
      <rgbColor rgb="FF333399"/>
      <rgbColor rgb="FF1C54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opLeftCell="A4" zoomScaleNormal="100" workbookViewId="0">
      <selection activeCell="J26" sqref="J26"/>
    </sheetView>
  </sheetViews>
  <sheetFormatPr defaultRowHeight="15" x14ac:dyDescent="0.25"/>
  <cols>
    <col min="1" max="1" width="54.42578125" customWidth="1"/>
    <col min="2" max="1025" width="8.7109375" customWidth="1"/>
  </cols>
  <sheetData>
    <row r="1" spans="1:6" x14ac:dyDescent="0.25">
      <c r="A1" s="75" t="s">
        <v>0</v>
      </c>
      <c r="B1" s="75"/>
      <c r="C1" s="75"/>
      <c r="D1" s="75"/>
      <c r="E1" s="75"/>
      <c r="F1" s="75"/>
    </row>
    <row r="2" spans="1:6" x14ac:dyDescent="0.25">
      <c r="A2" s="75" t="s">
        <v>1</v>
      </c>
      <c r="B2" s="75"/>
      <c r="C2" s="75"/>
      <c r="D2" s="75"/>
      <c r="E2" s="75"/>
      <c r="F2" s="75"/>
    </row>
    <row r="3" spans="1:6" x14ac:dyDescent="0.25">
      <c r="A3" s="75" t="s">
        <v>2</v>
      </c>
      <c r="B3" s="75"/>
      <c r="C3" s="75"/>
      <c r="D3" s="75"/>
      <c r="E3" s="75"/>
      <c r="F3" s="75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76" t="s">
        <v>3</v>
      </c>
      <c r="B5" s="76"/>
      <c r="C5" s="76"/>
      <c r="D5" s="76"/>
      <c r="E5" s="76"/>
      <c r="F5" s="76"/>
    </row>
    <row r="6" spans="1:6" x14ac:dyDescent="0.25">
      <c r="A6" s="77" t="s">
        <v>4</v>
      </c>
      <c r="B6" s="77"/>
      <c r="C6" s="77"/>
      <c r="D6" s="77"/>
      <c r="E6" s="77"/>
      <c r="F6" s="77"/>
    </row>
    <row r="8" spans="1:6" x14ac:dyDescent="0.25">
      <c r="A8" s="5" t="s">
        <v>91</v>
      </c>
    </row>
    <row r="9" spans="1:6" x14ac:dyDescent="0.25">
      <c r="A9" s="5" t="s">
        <v>5</v>
      </c>
    </row>
    <row r="10" spans="1:6" x14ac:dyDescent="0.25">
      <c r="A10" s="5" t="s">
        <v>6</v>
      </c>
    </row>
    <row r="11" spans="1:6" x14ac:dyDescent="0.25">
      <c r="A11" s="5"/>
    </row>
    <row r="12" spans="1:6" x14ac:dyDescent="0.25">
      <c r="A12" s="74" t="s">
        <v>7</v>
      </c>
      <c r="B12" s="74"/>
      <c r="C12" s="74"/>
      <c r="D12" s="74"/>
      <c r="E12" s="74"/>
      <c r="F12" s="74"/>
    </row>
    <row r="13" spans="1:6" x14ac:dyDescent="0.25">
      <c r="A13" s="6" t="s">
        <v>8</v>
      </c>
      <c r="B13" s="7">
        <v>2018</v>
      </c>
      <c r="C13" s="7">
        <v>2019</v>
      </c>
      <c r="D13" s="7">
        <v>2020</v>
      </c>
      <c r="E13" s="7">
        <v>2021</v>
      </c>
      <c r="F13" s="7">
        <v>2022</v>
      </c>
    </row>
    <row r="14" spans="1:6" x14ac:dyDescent="0.25">
      <c r="A14" s="8" t="s">
        <v>9</v>
      </c>
      <c r="B14" s="9">
        <f>B15+B16</f>
        <v>6209</v>
      </c>
      <c r="C14" s="9">
        <f>C15+C16</f>
        <v>7157</v>
      </c>
      <c r="D14" s="9">
        <f>D15+D16</f>
        <v>1564</v>
      </c>
      <c r="E14" s="9">
        <f>E15+E16</f>
        <v>213</v>
      </c>
      <c r="F14" s="9">
        <f>F15+F16</f>
        <v>5363</v>
      </c>
    </row>
    <row r="15" spans="1:6" x14ac:dyDescent="0.25">
      <c r="A15" s="10" t="s">
        <v>10</v>
      </c>
      <c r="B15" s="60">
        <f>98+2363+3748</f>
        <v>6209</v>
      </c>
      <c r="C15" s="60">
        <f>201+3394+3562</f>
        <v>7157</v>
      </c>
      <c r="D15" s="60">
        <f>50+726+788</f>
        <v>1564</v>
      </c>
      <c r="E15" s="60">
        <f>20+121+72</f>
        <v>213</v>
      </c>
      <c r="F15" s="60">
        <f>85+2713+563+1293+709</f>
        <v>5363</v>
      </c>
    </row>
    <row r="16" spans="1:6" x14ac:dyDescent="0.25">
      <c r="A16" s="12" t="s">
        <v>11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8" x14ac:dyDescent="0.25">
      <c r="A17" s="13" t="s">
        <v>12</v>
      </c>
      <c r="B17" s="14">
        <f>B18+B19+B20+B21+B22</f>
        <v>7562</v>
      </c>
      <c r="C17" s="14">
        <f>C18+C19+C20+C21+C22</f>
        <v>8734</v>
      </c>
      <c r="D17" s="14">
        <f>D18+D19+D20+D21+D22</f>
        <v>2153</v>
      </c>
      <c r="E17" s="14">
        <f>E18+E19+E20+E21+E22</f>
        <v>321</v>
      </c>
      <c r="F17" s="14">
        <f>F18+F19+F20+F21+F22</f>
        <v>4304</v>
      </c>
    </row>
    <row r="18" spans="1:8" x14ac:dyDescent="0.25">
      <c r="A18" s="15" t="s">
        <v>13</v>
      </c>
      <c r="B18" s="16">
        <f>2338+998+3721</f>
        <v>7057</v>
      </c>
      <c r="C18" s="16">
        <f>3281+1364+3545</f>
        <v>8190</v>
      </c>
      <c r="D18" s="16">
        <f>663+396+777</f>
        <v>1836</v>
      </c>
      <c r="E18" s="16">
        <f>98+98+65</f>
        <v>261</v>
      </c>
      <c r="F18" s="16">
        <f>1228+894+697+990+60</f>
        <v>3869</v>
      </c>
    </row>
    <row r="19" spans="1:8" x14ac:dyDescent="0.25">
      <c r="A19" s="15" t="s">
        <v>14</v>
      </c>
      <c r="B19" s="16">
        <f>25+167+2</f>
        <v>194</v>
      </c>
      <c r="C19" s="16">
        <f>113+57+2</f>
        <v>172</v>
      </c>
      <c r="D19" s="16">
        <f>53+19+1</f>
        <v>73</v>
      </c>
      <c r="E19" s="16">
        <f>23+6+1</f>
        <v>30</v>
      </c>
      <c r="F19" s="16">
        <f>65+13+2+29</f>
        <v>109</v>
      </c>
    </row>
    <row r="20" spans="1:8" x14ac:dyDescent="0.25">
      <c r="A20" s="15" t="s">
        <v>15</v>
      </c>
      <c r="B20" s="16">
        <f>27+14+5</f>
        <v>46</v>
      </c>
      <c r="C20" s="16">
        <f>31+70+5</f>
        <v>106</v>
      </c>
      <c r="D20" s="16">
        <f>27+14+4</f>
        <v>45</v>
      </c>
      <c r="E20" s="16">
        <f>4+7+2</f>
        <v>13</v>
      </c>
      <c r="F20" s="16">
        <f>55+4+4+21+3</f>
        <v>87</v>
      </c>
    </row>
    <row r="21" spans="1:8" x14ac:dyDescent="0.25">
      <c r="A21" s="15" t="s">
        <v>16</v>
      </c>
      <c r="B21" s="16">
        <f>161+84+20</f>
        <v>265</v>
      </c>
      <c r="C21" s="16">
        <f>125+131+10</f>
        <v>266</v>
      </c>
      <c r="D21" s="16">
        <f>157+36+6</f>
        <v>199</v>
      </c>
      <c r="E21" s="16">
        <f>13+4</f>
        <v>17</v>
      </c>
      <c r="F21" s="16">
        <f>111+81+6+31+10</f>
        <v>239</v>
      </c>
    </row>
    <row r="22" spans="1:8" x14ac:dyDescent="0.25">
      <c r="A22" s="15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H22" s="17"/>
    </row>
    <row r="23" spans="1:8" x14ac:dyDescent="0.25">
      <c r="A23" s="13" t="s">
        <v>18</v>
      </c>
      <c r="B23" s="14">
        <f>B24+B25+B26+B27+B28+B29+B30+B31+B32</f>
        <v>780</v>
      </c>
      <c r="C23" s="14">
        <f>C24+C25+C26+C27+C28+C29+C30+C31</f>
        <v>695</v>
      </c>
      <c r="D23" s="14">
        <f>D24+D25+D26+D27+D28+D29+D30+D31</f>
        <v>696</v>
      </c>
      <c r="E23" s="14">
        <f>E24+E25+E26+E27+E28+E29+E30+E31</f>
        <v>1382</v>
      </c>
      <c r="F23" s="14">
        <f>F24+F25+F26+F27+F28+F29+F30+F31</f>
        <v>1981</v>
      </c>
    </row>
    <row r="24" spans="1:8" x14ac:dyDescent="0.25">
      <c r="A24" s="15" t="s">
        <v>19</v>
      </c>
      <c r="B24" s="16">
        <f>SUM(B25:B32)</f>
        <v>390</v>
      </c>
      <c r="C24" s="16">
        <f t="shared" ref="C24:F24" si="0">SUM(C25:C32)</f>
        <v>392</v>
      </c>
      <c r="D24" s="16">
        <f t="shared" si="0"/>
        <v>393</v>
      </c>
      <c r="E24" s="16">
        <f t="shared" si="0"/>
        <v>736</v>
      </c>
      <c r="F24" s="16">
        <f t="shared" si="0"/>
        <v>1017</v>
      </c>
    </row>
    <row r="25" spans="1:8" x14ac:dyDescent="0.25">
      <c r="A25" s="15" t="s">
        <v>20</v>
      </c>
      <c r="B25" s="16"/>
      <c r="C25" s="16"/>
      <c r="D25" s="16"/>
      <c r="E25" s="16">
        <v>321</v>
      </c>
      <c r="F25" s="16">
        <v>381</v>
      </c>
    </row>
    <row r="26" spans="1:8" x14ac:dyDescent="0.25">
      <c r="A26" s="15" t="s">
        <v>21</v>
      </c>
      <c r="B26" s="16"/>
      <c r="C26" s="16"/>
      <c r="D26" s="16"/>
      <c r="E26" s="16"/>
      <c r="F26" s="16">
        <v>76</v>
      </c>
    </row>
    <row r="27" spans="1:8" x14ac:dyDescent="0.25">
      <c r="A27" s="15" t="s">
        <v>22</v>
      </c>
      <c r="B27" s="40">
        <v>47</v>
      </c>
      <c r="C27" s="40">
        <v>47</v>
      </c>
      <c r="D27" s="40">
        <v>47</v>
      </c>
      <c r="E27" s="40">
        <v>69</v>
      </c>
      <c r="F27" s="40">
        <v>71</v>
      </c>
    </row>
    <row r="28" spans="1:8" x14ac:dyDescent="0.25">
      <c r="A28" s="15" t="s">
        <v>23</v>
      </c>
      <c r="B28" s="16"/>
      <c r="C28" s="16"/>
      <c r="D28" s="16"/>
      <c r="E28" s="16"/>
      <c r="F28" s="16">
        <v>80</v>
      </c>
    </row>
    <row r="29" spans="1:8" x14ac:dyDescent="0.25">
      <c r="A29" s="15" t="s">
        <v>24</v>
      </c>
      <c r="B29" s="16">
        <v>80</v>
      </c>
      <c r="C29" s="16">
        <v>80</v>
      </c>
      <c r="D29" s="16">
        <v>80</v>
      </c>
      <c r="E29" s="16">
        <v>80</v>
      </c>
      <c r="F29" s="16">
        <v>180</v>
      </c>
    </row>
    <row r="30" spans="1:8" x14ac:dyDescent="0.25">
      <c r="A30" s="15" t="s">
        <v>25</v>
      </c>
      <c r="B30" s="16">
        <v>92</v>
      </c>
      <c r="C30" s="16">
        <v>92</v>
      </c>
      <c r="D30" s="16">
        <v>92</v>
      </c>
      <c r="E30" s="16">
        <v>92</v>
      </c>
      <c r="F30" s="39">
        <v>92</v>
      </c>
    </row>
    <row r="31" spans="1:8" x14ac:dyDescent="0.25">
      <c r="A31" s="15" t="s">
        <v>26</v>
      </c>
      <c r="B31" s="16">
        <v>84</v>
      </c>
      <c r="C31" s="16">
        <v>84</v>
      </c>
      <c r="D31" s="16">
        <v>84</v>
      </c>
      <c r="E31" s="16">
        <v>84</v>
      </c>
      <c r="F31" s="16">
        <v>84</v>
      </c>
    </row>
    <row r="32" spans="1:8" x14ac:dyDescent="0.25">
      <c r="A32" s="12" t="s">
        <v>27</v>
      </c>
      <c r="B32" s="11">
        <v>87</v>
      </c>
      <c r="C32" s="11">
        <v>89</v>
      </c>
      <c r="D32" s="11">
        <v>90</v>
      </c>
      <c r="E32" s="11">
        <v>90</v>
      </c>
      <c r="F32" s="11">
        <v>53</v>
      </c>
    </row>
    <row r="33" spans="1:6" x14ac:dyDescent="0.25">
      <c r="A33" s="8" t="s">
        <v>28</v>
      </c>
      <c r="B33" s="9">
        <f>B34+B35+B36+B37</f>
        <v>90630</v>
      </c>
      <c r="C33" s="9">
        <f>C34+C35+C36+C37</f>
        <v>90955</v>
      </c>
      <c r="D33" s="9">
        <f>D34+D35+D36+D37</f>
        <v>93726</v>
      </c>
      <c r="E33" s="9">
        <f>E34+E35+E36+E37</f>
        <v>103536</v>
      </c>
      <c r="F33" s="9">
        <f>F34+F35+F36+F37</f>
        <v>222339</v>
      </c>
    </row>
    <row r="34" spans="1:6" x14ac:dyDescent="0.25">
      <c r="A34" s="10" t="s">
        <v>29</v>
      </c>
      <c r="B34" s="60">
        <f>514+8136+188</f>
        <v>8838</v>
      </c>
      <c r="C34" s="60">
        <f>666+8136+204</f>
        <v>9006</v>
      </c>
      <c r="D34" s="60">
        <f>666+8136+204</f>
        <v>9006</v>
      </c>
      <c r="E34" s="60">
        <f>666+11397+204</f>
        <v>12267</v>
      </c>
      <c r="F34" s="60">
        <f>666+204+267+1329+13483</f>
        <v>15949</v>
      </c>
    </row>
    <row r="35" spans="1:6" x14ac:dyDescent="0.25">
      <c r="A35" s="12" t="s">
        <v>30</v>
      </c>
      <c r="B35" s="60">
        <f>8057+8136+9843</f>
        <v>26036</v>
      </c>
      <c r="C35" s="60">
        <f>8514+8136+9543</f>
        <v>26193</v>
      </c>
      <c r="D35" s="61">
        <f>8514+8136+12340</f>
        <v>28990</v>
      </c>
      <c r="E35" s="60">
        <f>8515+11397+12340</f>
        <v>32252</v>
      </c>
      <c r="F35" s="60">
        <f>9168+7341+4906+9740+13483+17000+17613</f>
        <v>79251</v>
      </c>
    </row>
    <row r="36" spans="1:6" x14ac:dyDescent="0.25">
      <c r="A36" s="12" t="s">
        <v>31</v>
      </c>
      <c r="B36" s="60">
        <f>57+8136</f>
        <v>8193</v>
      </c>
      <c r="C36" s="60">
        <f>57+8136</f>
        <v>8193</v>
      </c>
      <c r="D36" s="60">
        <f>57+8136</f>
        <v>8193</v>
      </c>
      <c r="E36" s="60">
        <f>57+11397</f>
        <v>11454</v>
      </c>
      <c r="F36" s="60">
        <f>57+13497+1336+739+13483</f>
        <v>29112</v>
      </c>
    </row>
    <row r="37" spans="1:6" x14ac:dyDescent="0.25">
      <c r="A37" s="12" t="s">
        <v>32</v>
      </c>
      <c r="B37" s="60">
        <f>47537+26</f>
        <v>47563</v>
      </c>
      <c r="C37" s="60">
        <f>47537+26</f>
        <v>47563</v>
      </c>
      <c r="D37" s="60">
        <v>47537</v>
      </c>
      <c r="E37" s="60">
        <f>47537+26</f>
        <v>47563</v>
      </c>
      <c r="F37" s="60">
        <f>49000+1+26+49000</f>
        <v>98027</v>
      </c>
    </row>
    <row r="38" spans="1:6" x14ac:dyDescent="0.25">
      <c r="A38" s="12" t="s">
        <v>33</v>
      </c>
      <c r="B38" s="60">
        <v>4844</v>
      </c>
      <c r="C38" s="60">
        <v>4844</v>
      </c>
      <c r="D38" s="60">
        <v>4844</v>
      </c>
      <c r="E38" s="60">
        <v>4844</v>
      </c>
      <c r="F38" s="61">
        <f>33379+20709+16154+4844+16154</f>
        <v>91240</v>
      </c>
    </row>
    <row r="39" spans="1:6" x14ac:dyDescent="0.25">
      <c r="A39" s="13" t="s">
        <v>34</v>
      </c>
      <c r="B39" s="14">
        <f>B40+B41</f>
        <v>58</v>
      </c>
      <c r="C39" s="14">
        <f>C40+C41</f>
        <v>113</v>
      </c>
      <c r="D39" s="14">
        <f>D40+D41</f>
        <v>139</v>
      </c>
      <c r="E39" s="14">
        <f>E40+E41</f>
        <v>330</v>
      </c>
      <c r="F39" s="14">
        <f>F40+F41</f>
        <v>234</v>
      </c>
    </row>
    <row r="40" spans="1:6" x14ac:dyDescent="0.25">
      <c r="A40" s="18" t="s">
        <v>35</v>
      </c>
      <c r="B40" s="62">
        <f>56+2</f>
        <v>58</v>
      </c>
      <c r="C40" s="62">
        <f>108+5</f>
        <v>113</v>
      </c>
      <c r="D40" s="62">
        <v>0</v>
      </c>
      <c r="E40" s="62">
        <v>0</v>
      </c>
      <c r="F40" s="62">
        <f>178+4+37</f>
        <v>219</v>
      </c>
    </row>
    <row r="41" spans="1:6" x14ac:dyDescent="0.25">
      <c r="A41" s="19" t="s">
        <v>36</v>
      </c>
      <c r="B41" s="62">
        <v>0</v>
      </c>
      <c r="C41" s="62">
        <v>0</v>
      </c>
      <c r="D41" s="62">
        <v>139</v>
      </c>
      <c r="E41" s="62">
        <f>329+1</f>
        <v>330</v>
      </c>
      <c r="F41" s="62">
        <f>13+1+1</f>
        <v>15</v>
      </c>
    </row>
    <row r="42" spans="1:6" x14ac:dyDescent="0.25">
      <c r="A42" t="s">
        <v>107</v>
      </c>
      <c r="B42" s="63"/>
      <c r="C42" s="63"/>
      <c r="D42" s="63"/>
      <c r="E42" s="63"/>
      <c r="F42" s="63"/>
    </row>
    <row r="44" spans="1:6" x14ac:dyDescent="0.25">
      <c r="A44" s="20" t="s">
        <v>37</v>
      </c>
      <c r="B44" s="20"/>
      <c r="C44" s="20"/>
      <c r="D44" s="20"/>
      <c r="E44" s="21"/>
      <c r="F44" s="21"/>
    </row>
    <row r="45" spans="1:6" x14ac:dyDescent="0.25">
      <c r="A45" s="21" t="s">
        <v>38</v>
      </c>
      <c r="B45" s="21"/>
      <c r="C45" s="21"/>
      <c r="D45" s="21"/>
      <c r="E45" s="21"/>
      <c r="F45" s="21"/>
    </row>
  </sheetData>
  <mergeCells count="6">
    <mergeCell ref="A12:F12"/>
    <mergeCell ref="A1:F1"/>
    <mergeCell ref="A2:F2"/>
    <mergeCell ref="A3:F3"/>
    <mergeCell ref="A5:F5"/>
    <mergeCell ref="A6:F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29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54.42578125" customWidth="1"/>
    <col min="2" max="2" width="19.42578125" customWidth="1"/>
    <col min="3" max="3" width="19.5703125" customWidth="1"/>
    <col min="4" max="4" width="19.42578125" customWidth="1"/>
    <col min="5" max="5" width="19.5703125" customWidth="1"/>
    <col min="6" max="6" width="19.42578125" customWidth="1"/>
    <col min="7" max="7" width="19.5703125" customWidth="1"/>
    <col min="8" max="8" width="19.42578125" customWidth="1"/>
    <col min="9" max="9" width="19.5703125" customWidth="1"/>
    <col min="10" max="10" width="19.42578125" customWidth="1"/>
    <col min="11" max="11" width="19.5703125" customWidth="1"/>
    <col min="12" max="12" width="19.42578125" customWidth="1"/>
    <col min="13" max="13" width="19.5703125" customWidth="1"/>
    <col min="14" max="14" width="19.42578125" customWidth="1"/>
    <col min="15" max="15" width="19.5703125" customWidth="1"/>
    <col min="16" max="16" width="19.42578125" customWidth="1"/>
    <col min="17" max="17" width="19.5703125" customWidth="1"/>
    <col min="18" max="18" width="19.42578125" customWidth="1"/>
    <col min="19" max="19" width="19.5703125" customWidth="1"/>
    <col min="20" max="20" width="10.5703125" bestFit="1" customWidth="1"/>
    <col min="21" max="1025" width="8.7109375" customWidth="1"/>
  </cols>
  <sheetData>
    <row r="2" spans="1:19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x14ac:dyDescent="0.25">
      <c r="A7" s="77" t="s">
        <v>39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9" spans="1:19" x14ac:dyDescent="0.25">
      <c r="A9" s="5" t="s">
        <v>111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5" t="s">
        <v>113</v>
      </c>
      <c r="B10" s="5" t="s">
        <v>117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5" t="s">
        <v>112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78" t="s">
        <v>40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s="4" customFormat="1" x14ac:dyDescent="0.25">
      <c r="A14" s="2" t="s">
        <v>41</v>
      </c>
      <c r="B14" s="79" t="s">
        <v>19</v>
      </c>
      <c r="C14" s="79"/>
      <c r="D14" s="79" t="s">
        <v>20</v>
      </c>
      <c r="E14" s="79"/>
      <c r="F14" s="79" t="s">
        <v>42</v>
      </c>
      <c r="G14" s="79"/>
      <c r="H14" s="79" t="s">
        <v>43</v>
      </c>
      <c r="I14" s="79"/>
      <c r="J14" s="79" t="s">
        <v>44</v>
      </c>
      <c r="K14" s="79"/>
      <c r="L14" s="79" t="s">
        <v>45</v>
      </c>
      <c r="M14" s="79"/>
      <c r="N14" s="79" t="s">
        <v>46</v>
      </c>
      <c r="O14" s="79"/>
      <c r="P14" s="79" t="s">
        <v>47</v>
      </c>
      <c r="Q14" s="79"/>
      <c r="R14" s="79" t="s">
        <v>48</v>
      </c>
      <c r="S14" s="79"/>
    </row>
    <row r="15" spans="1:19" s="4" customFormat="1" x14ac:dyDescent="0.25">
      <c r="A15" s="3"/>
      <c r="B15" s="3" t="s">
        <v>49</v>
      </c>
      <c r="C15" s="3" t="s">
        <v>50</v>
      </c>
      <c r="D15" s="3" t="s">
        <v>49</v>
      </c>
      <c r="E15" s="3" t="s">
        <v>50</v>
      </c>
      <c r="F15" s="3" t="s">
        <v>49</v>
      </c>
      <c r="G15" s="3" t="s">
        <v>50</v>
      </c>
      <c r="H15" s="3" t="s">
        <v>49</v>
      </c>
      <c r="I15" s="3" t="s">
        <v>50</v>
      </c>
      <c r="J15" s="3" t="s">
        <v>49</v>
      </c>
      <c r="K15" s="3" t="s">
        <v>50</v>
      </c>
      <c r="L15" s="3" t="s">
        <v>49</v>
      </c>
      <c r="M15" s="3" t="s">
        <v>50</v>
      </c>
      <c r="N15" s="3" t="s">
        <v>49</v>
      </c>
      <c r="O15" s="3" t="s">
        <v>50</v>
      </c>
      <c r="P15" s="3" t="s">
        <v>49</v>
      </c>
      <c r="Q15" s="3" t="s">
        <v>50</v>
      </c>
      <c r="R15" s="3" t="s">
        <v>49</v>
      </c>
      <c r="S15" s="3" t="s">
        <v>50</v>
      </c>
    </row>
    <row r="16" spans="1:19" x14ac:dyDescent="0.25">
      <c r="A16" s="22" t="s">
        <v>51</v>
      </c>
      <c r="B16" s="65">
        <f>SUM(D16,F16,H16,J16,L16,N16,P16,R16)</f>
        <v>73053</v>
      </c>
      <c r="C16" s="65">
        <f>SUM(E16,G16,I16,K16,M16,O16,Q16,S16)</f>
        <v>152285</v>
      </c>
      <c r="D16" s="70">
        <v>30062</v>
      </c>
      <c r="E16" s="70">
        <v>72886</v>
      </c>
      <c r="F16" s="43">
        <v>2376</v>
      </c>
      <c r="G16" s="43">
        <v>9168</v>
      </c>
      <c r="H16" s="45">
        <v>7341</v>
      </c>
      <c r="I16" s="45">
        <v>13497</v>
      </c>
      <c r="J16" s="46">
        <v>5278</v>
      </c>
      <c r="K16" s="46">
        <v>9740</v>
      </c>
      <c r="L16" s="46">
        <v>3337</v>
      </c>
      <c r="M16" s="46">
        <v>4906</v>
      </c>
      <c r="N16">
        <v>418</v>
      </c>
      <c r="O16" s="70">
        <v>1405</v>
      </c>
      <c r="P16" s="46">
        <v>7241</v>
      </c>
      <c r="Q16" s="46">
        <v>13483</v>
      </c>
      <c r="R16" s="47">
        <v>17000</v>
      </c>
      <c r="S16" s="47">
        <v>27200</v>
      </c>
    </row>
    <row r="17" spans="1:20" x14ac:dyDescent="0.25">
      <c r="A17" s="22" t="s">
        <v>52</v>
      </c>
      <c r="B17" s="65">
        <f>SUM(D17,F17,H17,J17,M17,N17,P17,R17)</f>
        <v>2510</v>
      </c>
      <c r="C17" s="65">
        <v>37054</v>
      </c>
      <c r="D17" s="70">
        <v>1376</v>
      </c>
      <c r="E17" s="71">
        <v>28136</v>
      </c>
      <c r="F17" s="41">
        <v>156</v>
      </c>
      <c r="G17" s="41">
        <v>666</v>
      </c>
      <c r="H17" s="44">
        <v>204</v>
      </c>
      <c r="I17" s="44">
        <v>488</v>
      </c>
      <c r="J17" s="23">
        <v>117</v>
      </c>
      <c r="K17" s="23">
        <v>1329</v>
      </c>
      <c r="L17">
        <v>21</v>
      </c>
      <c r="M17" s="23">
        <v>267</v>
      </c>
      <c r="N17">
        <v>18</v>
      </c>
      <c r="O17">
        <v>90</v>
      </c>
      <c r="P17" s="23">
        <v>336</v>
      </c>
      <c r="Q17" s="46">
        <v>3304</v>
      </c>
      <c r="R17" s="48">
        <v>36</v>
      </c>
      <c r="S17" s="48">
        <v>721</v>
      </c>
      <c r="T17" s="73"/>
    </row>
    <row r="18" spans="1:20" x14ac:dyDescent="0.25">
      <c r="A18" s="22" t="s">
        <v>33</v>
      </c>
      <c r="B18" s="65">
        <f t="shared" ref="B18" si="0">SUM(D18,F18,H18,J18,L18,N18,P18,R18)</f>
        <v>161617</v>
      </c>
      <c r="C18" s="65">
        <f t="shared" ref="C18" si="1">SUM(E18,G18,I18,K18,M18,O18,Q18,S18)</f>
        <v>177771</v>
      </c>
      <c r="D18" s="71">
        <v>54377</v>
      </c>
      <c r="E18" s="71">
        <v>54377</v>
      </c>
      <c r="F18" s="43">
        <v>33379</v>
      </c>
      <c r="G18" s="43">
        <v>33379</v>
      </c>
      <c r="H18" s="45">
        <v>16154</v>
      </c>
      <c r="I18" s="46">
        <v>16154</v>
      </c>
      <c r="J18" s="23">
        <v>0</v>
      </c>
      <c r="K18" s="23">
        <v>16154</v>
      </c>
      <c r="L18" s="46">
        <v>20709</v>
      </c>
      <c r="M18" s="46">
        <v>20709</v>
      </c>
      <c r="N18" s="70">
        <v>16000</v>
      </c>
      <c r="O18" s="70">
        <v>16000</v>
      </c>
      <c r="P18" s="46">
        <v>4844</v>
      </c>
      <c r="Q18" s="46">
        <v>4844</v>
      </c>
      <c r="R18" s="47">
        <v>16154</v>
      </c>
      <c r="S18" s="47">
        <v>16154</v>
      </c>
    </row>
    <row r="19" spans="1:20" x14ac:dyDescent="0.25">
      <c r="A19" s="22" t="s">
        <v>53</v>
      </c>
      <c r="B19" s="65">
        <v>49052</v>
      </c>
      <c r="C19" s="65">
        <v>49052</v>
      </c>
      <c r="D19" s="70">
        <v>49052</v>
      </c>
      <c r="E19" s="70">
        <v>49052</v>
      </c>
      <c r="F19" s="50">
        <v>49052</v>
      </c>
      <c r="G19" s="50">
        <v>49052</v>
      </c>
      <c r="H19" s="51">
        <v>49000</v>
      </c>
      <c r="I19" s="46">
        <v>49000</v>
      </c>
      <c r="J19" s="52">
        <v>49000</v>
      </c>
      <c r="K19" s="46">
        <v>49000</v>
      </c>
      <c r="L19" s="46">
        <v>49000</v>
      </c>
      <c r="M19" s="46">
        <v>49000</v>
      </c>
      <c r="N19" s="70">
        <v>49000</v>
      </c>
      <c r="O19" s="70">
        <v>49000</v>
      </c>
      <c r="P19" s="46">
        <v>49000</v>
      </c>
      <c r="Q19" s="23">
        <v>26</v>
      </c>
      <c r="R19" s="47">
        <v>49000</v>
      </c>
      <c r="S19" s="69">
        <v>49000</v>
      </c>
    </row>
    <row r="20" spans="1:20" x14ac:dyDescent="0.25">
      <c r="A20" s="22" t="s">
        <v>54</v>
      </c>
      <c r="B20" s="65">
        <f>SUM(D20,F20,H20,J20,L20,N20,P20,R20)</f>
        <v>3328</v>
      </c>
      <c r="C20" s="65">
        <v>590</v>
      </c>
      <c r="D20" s="70">
        <v>1888</v>
      </c>
      <c r="E20" s="70">
        <v>1888</v>
      </c>
      <c r="F20" s="41">
        <v>57</v>
      </c>
      <c r="G20" s="23">
        <v>390</v>
      </c>
      <c r="H20" s="44">
        <v>559</v>
      </c>
      <c r="I20" s="44">
        <v>559</v>
      </c>
      <c r="J20" s="23">
        <v>409</v>
      </c>
      <c r="K20" s="23">
        <v>409</v>
      </c>
      <c r="L20" s="23">
        <v>61</v>
      </c>
      <c r="M20" s="23">
        <v>61</v>
      </c>
      <c r="N20">
        <v>81</v>
      </c>
      <c r="O20">
        <v>81</v>
      </c>
      <c r="P20" s="23">
        <v>194</v>
      </c>
      <c r="Q20" s="23">
        <v>194</v>
      </c>
      <c r="R20" s="48">
        <v>79</v>
      </c>
      <c r="S20" s="48">
        <v>79</v>
      </c>
    </row>
    <row r="21" spans="1:2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20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0" x14ac:dyDescent="0.25">
      <c r="A26" s="24"/>
      <c r="B26" s="24"/>
      <c r="C26" s="21"/>
      <c r="D26" s="24"/>
      <c r="E26" s="21"/>
      <c r="F26" s="24"/>
      <c r="G26" s="21"/>
      <c r="H26" s="24"/>
      <c r="I26" s="21"/>
      <c r="J26" s="24"/>
      <c r="K26" s="21"/>
      <c r="L26" s="24"/>
      <c r="M26" s="21"/>
      <c r="N26" s="24"/>
      <c r="O26" s="21"/>
      <c r="P26" s="24"/>
      <c r="Q26" s="21"/>
      <c r="R26" s="24"/>
      <c r="S26" s="21"/>
    </row>
    <row r="27" spans="1:20" x14ac:dyDescent="0.25">
      <c r="A27" s="20"/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/>
      <c r="S27" s="21"/>
    </row>
    <row r="28" spans="1:2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</sheetData>
  <mergeCells count="15">
    <mergeCell ref="A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A2:S2"/>
    <mergeCell ref="A3:S3"/>
    <mergeCell ref="A4:S4"/>
    <mergeCell ref="A6:S6"/>
    <mergeCell ref="A7:S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showGridLines="0" zoomScaleNormal="100" workbookViewId="0">
      <selection activeCell="B9" sqref="B9"/>
    </sheetView>
  </sheetViews>
  <sheetFormatPr defaultRowHeight="15" x14ac:dyDescent="0.25"/>
  <cols>
    <col min="1" max="1" width="37.7109375" customWidth="1"/>
    <col min="2" max="10" width="45.7109375" customWidth="1"/>
    <col min="11" max="1025" width="8.7109375" customWidth="1"/>
  </cols>
  <sheetData>
    <row r="1" spans="1:10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77" t="s">
        <v>55</v>
      </c>
      <c r="B6" s="77"/>
      <c r="C6" s="77"/>
      <c r="D6" s="77"/>
      <c r="E6" s="77"/>
      <c r="F6" s="77"/>
      <c r="G6" s="77"/>
      <c r="H6" s="77"/>
      <c r="I6" s="77"/>
      <c r="J6" s="77"/>
    </row>
    <row r="8" spans="1:10" x14ac:dyDescent="0.25">
      <c r="A8" s="5" t="s">
        <v>111</v>
      </c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 t="s">
        <v>114</v>
      </c>
      <c r="B9" s="5" t="s">
        <v>116</v>
      </c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 t="s">
        <v>112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78" t="s">
        <v>56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s="4" customFormat="1" x14ac:dyDescent="0.25">
      <c r="A13" s="2" t="s">
        <v>57</v>
      </c>
      <c r="B13" s="2" t="s">
        <v>19</v>
      </c>
      <c r="C13" s="2" t="s">
        <v>20</v>
      </c>
      <c r="D13" s="2" t="s">
        <v>42</v>
      </c>
      <c r="E13" s="2" t="s">
        <v>43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48</v>
      </c>
    </row>
    <row r="14" spans="1:10" x14ac:dyDescent="0.25">
      <c r="A14" s="23" t="s">
        <v>58</v>
      </c>
      <c r="B14" s="65">
        <f>SUM(C14:J14)</f>
        <v>15325</v>
      </c>
      <c r="C14" s="23">
        <v>8283</v>
      </c>
      <c r="D14" s="41">
        <v>49</v>
      </c>
      <c r="E14" s="45">
        <v>2791</v>
      </c>
      <c r="F14" s="49">
        <v>901</v>
      </c>
      <c r="G14" s="23">
        <v>649</v>
      </c>
      <c r="H14" s="23">
        <v>614</v>
      </c>
      <c r="I14" s="49">
        <v>1329</v>
      </c>
      <c r="J14" s="58">
        <v>709</v>
      </c>
    </row>
    <row r="15" spans="1:10" x14ac:dyDescent="0.25">
      <c r="A15" s="23" t="s">
        <v>59</v>
      </c>
      <c r="B15" s="65">
        <f t="shared" ref="B15:B21" si="0">SUM(C15:J15)</f>
        <v>8963</v>
      </c>
      <c r="C15" s="23">
        <v>4675</v>
      </c>
      <c r="D15" s="41">
        <v>456</v>
      </c>
      <c r="E15" s="72">
        <v>1462</v>
      </c>
      <c r="F15" s="49">
        <v>428</v>
      </c>
      <c r="G15" s="23">
        <v>332</v>
      </c>
      <c r="H15" s="23">
        <v>355</v>
      </c>
      <c r="I15" s="49">
        <v>918</v>
      </c>
      <c r="J15" s="58">
        <v>337</v>
      </c>
    </row>
    <row r="16" spans="1:10" x14ac:dyDescent="0.25">
      <c r="A16" s="23" t="s">
        <v>60</v>
      </c>
      <c r="B16" s="65">
        <f t="shared" si="0"/>
        <v>7499</v>
      </c>
      <c r="C16" s="23">
        <v>4393</v>
      </c>
      <c r="D16" s="41">
        <v>36</v>
      </c>
      <c r="E16" s="45">
        <v>1434</v>
      </c>
      <c r="F16" s="49">
        <v>483</v>
      </c>
      <c r="G16" s="23">
        <v>286</v>
      </c>
      <c r="H16" s="23">
        <v>286</v>
      </c>
      <c r="I16" s="49">
        <v>543</v>
      </c>
      <c r="J16" s="58">
        <v>38</v>
      </c>
    </row>
    <row r="17" spans="1:10" x14ac:dyDescent="0.25">
      <c r="A17" s="23" t="s">
        <v>61</v>
      </c>
      <c r="B17" s="65">
        <f t="shared" si="0"/>
        <v>2127</v>
      </c>
      <c r="C17" s="23">
        <v>322</v>
      </c>
      <c r="D17" s="42">
        <v>235</v>
      </c>
      <c r="E17" s="44">
        <v>307</v>
      </c>
      <c r="F17" s="49">
        <v>300</v>
      </c>
      <c r="G17" s="23">
        <v>83</v>
      </c>
      <c r="H17" s="23">
        <v>322</v>
      </c>
      <c r="I17" s="49">
        <v>240</v>
      </c>
      <c r="J17" s="58">
        <v>318</v>
      </c>
    </row>
    <row r="18" spans="1:10" x14ac:dyDescent="0.25">
      <c r="A18" s="23" t="s">
        <v>62</v>
      </c>
      <c r="B18" s="65">
        <f t="shared" si="0"/>
        <v>380.12</v>
      </c>
      <c r="C18" s="23">
        <v>150</v>
      </c>
      <c r="D18" s="41">
        <v>9.3000000000000007</v>
      </c>
      <c r="E18" s="44">
        <v>46</v>
      </c>
      <c r="F18" s="49">
        <v>11</v>
      </c>
      <c r="G18" s="23">
        <v>10</v>
      </c>
      <c r="H18">
        <v>18.87</v>
      </c>
      <c r="I18" s="67">
        <v>130</v>
      </c>
      <c r="J18" s="58">
        <v>4.95</v>
      </c>
    </row>
    <row r="19" spans="1:10" x14ac:dyDescent="0.25">
      <c r="A19" s="23" t="s">
        <v>63</v>
      </c>
      <c r="B19" s="65">
        <f t="shared" si="0"/>
        <v>71358.44</v>
      </c>
      <c r="C19" s="23">
        <v>48215</v>
      </c>
      <c r="D19" s="41">
        <v>3401</v>
      </c>
      <c r="E19" s="45">
        <v>6756</v>
      </c>
      <c r="F19" s="49">
        <v>2772</v>
      </c>
      <c r="G19" s="23">
        <v>190.44</v>
      </c>
      <c r="H19">
        <v>6890</v>
      </c>
      <c r="I19" s="67">
        <v>1560</v>
      </c>
      <c r="J19" s="58">
        <v>1574</v>
      </c>
    </row>
    <row r="20" spans="1:10" x14ac:dyDescent="0.25">
      <c r="A20" s="23" t="s">
        <v>64</v>
      </c>
      <c r="B20" s="65">
        <f t="shared" si="0"/>
        <v>15</v>
      </c>
      <c r="C20" s="23">
        <v>3</v>
      </c>
      <c r="D20" s="41">
        <v>3</v>
      </c>
      <c r="E20" s="44">
        <v>1</v>
      </c>
      <c r="F20" s="49">
        <v>2</v>
      </c>
      <c r="G20" s="23">
        <v>2</v>
      </c>
      <c r="H20" s="23">
        <v>0</v>
      </c>
      <c r="I20" s="49">
        <v>3</v>
      </c>
      <c r="J20" s="59">
        <v>1</v>
      </c>
    </row>
    <row r="21" spans="1:10" x14ac:dyDescent="0.25">
      <c r="A21" s="23" t="s">
        <v>65</v>
      </c>
      <c r="B21" s="65">
        <f t="shared" si="0"/>
        <v>2269</v>
      </c>
      <c r="C21" s="23">
        <v>1278</v>
      </c>
      <c r="D21" s="41">
        <v>156</v>
      </c>
      <c r="E21" s="67">
        <v>156</v>
      </c>
      <c r="F21" s="49">
        <v>60</v>
      </c>
      <c r="G21" s="49" t="s">
        <v>108</v>
      </c>
      <c r="H21" s="23">
        <v>79</v>
      </c>
      <c r="I21" s="67">
        <v>286</v>
      </c>
      <c r="J21" s="68">
        <v>254</v>
      </c>
    </row>
    <row r="22" spans="1:10" x14ac:dyDescent="0.25">
      <c r="A22" s="23" t="s">
        <v>66</v>
      </c>
      <c r="B22" s="65">
        <v>460</v>
      </c>
      <c r="C22" s="23">
        <v>552</v>
      </c>
      <c r="D22" s="41">
        <v>18</v>
      </c>
      <c r="E22" s="44">
        <v>123</v>
      </c>
      <c r="F22" s="49">
        <v>92</v>
      </c>
      <c r="G22" s="23">
        <v>118</v>
      </c>
      <c r="H22" s="23">
        <v>20</v>
      </c>
      <c r="I22" s="49">
        <v>44</v>
      </c>
      <c r="J22" s="58">
        <v>57</v>
      </c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53"/>
    </row>
    <row r="24" spans="1:10" x14ac:dyDescent="0.25">
      <c r="A24" s="24"/>
      <c r="B24" s="24"/>
      <c r="C24" s="24"/>
      <c r="D24" s="24"/>
      <c r="E24" s="24"/>
      <c r="F24" s="24"/>
      <c r="G24" s="66" t="s">
        <v>109</v>
      </c>
      <c r="H24" s="24"/>
      <c r="I24" s="24"/>
      <c r="J24" s="24"/>
    </row>
    <row r="25" spans="1:1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6">
    <mergeCell ref="A12:J12"/>
    <mergeCell ref="A1:J1"/>
    <mergeCell ref="A2:J2"/>
    <mergeCell ref="A3:J3"/>
    <mergeCell ref="A5:J5"/>
    <mergeCell ref="A6:J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8"/>
  <sheetViews>
    <sheetView showGridLines="0" tabSelected="1" topLeftCell="A3" zoomScaleNormal="100" workbookViewId="0">
      <selection activeCell="A9" sqref="A9"/>
    </sheetView>
  </sheetViews>
  <sheetFormatPr defaultRowHeight="15" x14ac:dyDescent="0.25"/>
  <cols>
    <col min="1" max="1" width="70.28515625" customWidth="1"/>
    <col min="2" max="2" width="26.140625" customWidth="1"/>
    <col min="3" max="3" width="22.28515625" customWidth="1"/>
    <col min="4" max="1025" width="8.7109375" customWidth="1"/>
  </cols>
  <sheetData>
    <row r="2" spans="1:3" x14ac:dyDescent="0.25">
      <c r="A2" s="75" t="s">
        <v>0</v>
      </c>
      <c r="B2" s="75"/>
      <c r="C2" s="75"/>
    </row>
    <row r="3" spans="1:3" x14ac:dyDescent="0.25">
      <c r="A3" s="75" t="s">
        <v>1</v>
      </c>
      <c r="B3" s="75"/>
      <c r="C3" s="75"/>
    </row>
    <row r="4" spans="1:3" x14ac:dyDescent="0.25">
      <c r="A4" s="75" t="s">
        <v>2</v>
      </c>
      <c r="B4" s="75"/>
      <c r="C4" s="75"/>
    </row>
    <row r="5" spans="1:3" x14ac:dyDescent="0.25">
      <c r="A5" s="4"/>
      <c r="B5" s="4"/>
      <c r="C5" s="4"/>
    </row>
    <row r="6" spans="1:3" x14ac:dyDescent="0.25">
      <c r="A6" s="76" t="s">
        <v>3</v>
      </c>
      <c r="B6" s="76"/>
      <c r="C6" s="76"/>
    </row>
    <row r="7" spans="1:3" x14ac:dyDescent="0.25">
      <c r="A7" s="77" t="s">
        <v>67</v>
      </c>
      <c r="B7" s="77"/>
      <c r="C7" s="77"/>
    </row>
    <row r="9" spans="1:3" x14ac:dyDescent="0.25">
      <c r="A9" s="5" t="s">
        <v>111</v>
      </c>
      <c r="B9" s="5"/>
      <c r="C9" s="5"/>
    </row>
    <row r="10" spans="1:3" x14ac:dyDescent="0.25">
      <c r="A10" s="5" t="s">
        <v>115</v>
      </c>
      <c r="B10" s="5"/>
      <c r="C10" s="5"/>
    </row>
    <row r="11" spans="1:3" x14ac:dyDescent="0.25">
      <c r="A11" s="5" t="s">
        <v>6</v>
      </c>
      <c r="B11" s="5"/>
      <c r="C11" s="5"/>
    </row>
    <row r="12" spans="1:3" x14ac:dyDescent="0.25">
      <c r="A12" s="5"/>
      <c r="B12" s="5"/>
      <c r="C12" s="5"/>
    </row>
    <row r="13" spans="1:3" x14ac:dyDescent="0.25">
      <c r="A13" s="80" t="s">
        <v>68</v>
      </c>
      <c r="B13" s="80"/>
      <c r="C13" s="80"/>
    </row>
    <row r="14" spans="1:3" x14ac:dyDescent="0.25">
      <c r="A14" s="6" t="s">
        <v>69</v>
      </c>
      <c r="B14" s="7" t="s">
        <v>70</v>
      </c>
      <c r="C14" s="7" t="s">
        <v>71</v>
      </c>
    </row>
    <row r="15" spans="1:3" x14ac:dyDescent="0.25">
      <c r="A15" s="54" t="s">
        <v>92</v>
      </c>
      <c r="B15" s="56">
        <v>3</v>
      </c>
      <c r="C15" s="56">
        <v>128</v>
      </c>
    </row>
    <row r="16" spans="1:3" x14ac:dyDescent="0.25">
      <c r="A16" s="54" t="s">
        <v>93</v>
      </c>
      <c r="B16" s="56">
        <v>2</v>
      </c>
      <c r="C16" s="56">
        <v>70</v>
      </c>
    </row>
    <row r="17" spans="1:3" x14ac:dyDescent="0.25">
      <c r="A17" s="55" t="s">
        <v>94</v>
      </c>
      <c r="B17" s="64">
        <v>2</v>
      </c>
      <c r="C17" s="64">
        <v>152</v>
      </c>
    </row>
    <row r="18" spans="1:3" x14ac:dyDescent="0.25">
      <c r="A18" s="55" t="s">
        <v>95</v>
      </c>
      <c r="B18" s="64">
        <v>13</v>
      </c>
      <c r="C18" s="64">
        <v>348</v>
      </c>
    </row>
    <row r="19" spans="1:3" x14ac:dyDescent="0.25">
      <c r="A19" s="55" t="s">
        <v>96</v>
      </c>
      <c r="B19" s="64">
        <v>2</v>
      </c>
      <c r="C19" s="64">
        <v>87</v>
      </c>
    </row>
    <row r="20" spans="1:3" x14ac:dyDescent="0.25">
      <c r="A20" s="54" t="s">
        <v>98</v>
      </c>
      <c r="B20" s="56">
        <v>25</v>
      </c>
      <c r="C20" s="56">
        <v>42</v>
      </c>
    </row>
    <row r="21" spans="1:3" x14ac:dyDescent="0.25">
      <c r="A21" s="54" t="s">
        <v>99</v>
      </c>
      <c r="B21" s="56">
        <v>1</v>
      </c>
      <c r="C21" s="56" t="s">
        <v>97</v>
      </c>
    </row>
    <row r="22" spans="1:3" x14ac:dyDescent="0.25">
      <c r="A22" s="54" t="s">
        <v>100</v>
      </c>
      <c r="B22" s="56">
        <v>9</v>
      </c>
      <c r="C22" s="56">
        <v>9</v>
      </c>
    </row>
    <row r="23" spans="1:3" x14ac:dyDescent="0.25">
      <c r="A23" s="54" t="s">
        <v>101</v>
      </c>
      <c r="B23" s="56">
        <v>1</v>
      </c>
      <c r="C23" s="56">
        <v>4</v>
      </c>
    </row>
    <row r="25" spans="1:3" x14ac:dyDescent="0.25">
      <c r="A25" s="57" t="s">
        <v>102</v>
      </c>
      <c r="B25" s="21"/>
      <c r="C25" s="21"/>
    </row>
    <row r="26" spans="1:3" x14ac:dyDescent="0.25">
      <c r="A26" s="20"/>
      <c r="B26" s="20"/>
      <c r="C26" s="21"/>
    </row>
    <row r="27" spans="1:3" x14ac:dyDescent="0.25">
      <c r="A27" s="21"/>
      <c r="B27" s="21"/>
      <c r="C27" s="21"/>
    </row>
    <row r="28" spans="1:3" x14ac:dyDescent="0.25">
      <c r="A28" s="21"/>
      <c r="B28" s="21"/>
      <c r="C28" s="21"/>
    </row>
  </sheetData>
  <mergeCells count="6">
    <mergeCell ref="A13:C13"/>
    <mergeCell ref="A2:C2"/>
    <mergeCell ref="A3:C3"/>
    <mergeCell ref="A4:C4"/>
    <mergeCell ref="A6:C6"/>
    <mergeCell ref="A7:C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showGridLines="0" zoomScaleNormal="100" workbookViewId="0">
      <selection activeCell="G8" sqref="G8"/>
    </sheetView>
  </sheetViews>
  <sheetFormatPr defaultRowHeight="15" x14ac:dyDescent="0.25"/>
  <cols>
    <col min="1" max="1" width="50.42578125" customWidth="1"/>
    <col min="2" max="3" width="14.7109375" customWidth="1"/>
    <col min="4" max="5" width="14.140625" customWidth="1"/>
    <col min="6" max="1025" width="8.7109375" customWidth="1"/>
  </cols>
  <sheetData>
    <row r="1" spans="1:5" x14ac:dyDescent="0.25">
      <c r="A1" s="75" t="s">
        <v>0</v>
      </c>
      <c r="B1" s="75"/>
      <c r="C1" s="75"/>
      <c r="D1" s="75"/>
      <c r="E1" s="75"/>
    </row>
    <row r="2" spans="1:5" x14ac:dyDescent="0.25">
      <c r="A2" s="75" t="s">
        <v>1</v>
      </c>
      <c r="B2" s="75"/>
      <c r="C2" s="75"/>
      <c r="D2" s="75"/>
      <c r="E2" s="75"/>
    </row>
    <row r="3" spans="1:5" x14ac:dyDescent="0.25">
      <c r="A3" s="75" t="s">
        <v>2</v>
      </c>
      <c r="B3" s="75"/>
      <c r="C3" s="75"/>
      <c r="D3" s="75"/>
      <c r="E3" s="75"/>
    </row>
    <row r="5" spans="1:5" x14ac:dyDescent="0.25">
      <c r="A5" s="76" t="s">
        <v>3</v>
      </c>
      <c r="B5" s="76"/>
      <c r="C5" s="76"/>
      <c r="D5" s="76"/>
      <c r="E5" s="76"/>
    </row>
    <row r="6" spans="1:5" x14ac:dyDescent="0.25">
      <c r="A6" s="77" t="s">
        <v>72</v>
      </c>
      <c r="B6" s="77"/>
      <c r="C6" s="77"/>
      <c r="D6" s="77"/>
      <c r="E6" s="77"/>
    </row>
    <row r="7" spans="1:5" ht="16.5" customHeight="1" x14ac:dyDescent="0.25"/>
    <row r="8" spans="1:5" x14ac:dyDescent="0.25">
      <c r="A8" s="93" t="s">
        <v>73</v>
      </c>
      <c r="B8" s="93"/>
      <c r="C8" s="93"/>
      <c r="D8" s="93"/>
      <c r="E8" s="93"/>
    </row>
    <row r="9" spans="1:5" x14ac:dyDescent="0.25">
      <c r="A9" s="94" t="s">
        <v>74</v>
      </c>
      <c r="B9" s="94"/>
      <c r="C9" s="94"/>
      <c r="D9" s="94"/>
      <c r="E9" s="94"/>
    </row>
    <row r="10" spans="1:5" x14ac:dyDescent="0.25">
      <c r="A10" s="25"/>
      <c r="B10" s="26"/>
      <c r="C10" s="26"/>
      <c r="D10" s="26"/>
      <c r="E10" s="27"/>
    </row>
    <row r="11" spans="1:5" ht="141.75" customHeight="1" x14ac:dyDescent="0.25">
      <c r="A11" s="81" t="s">
        <v>103</v>
      </c>
      <c r="B11" s="82"/>
      <c r="C11" s="82"/>
      <c r="D11" s="82"/>
      <c r="E11" s="83"/>
    </row>
    <row r="12" spans="1:5" ht="63.75" customHeight="1" x14ac:dyDescent="0.25">
      <c r="A12" s="84" t="s">
        <v>104</v>
      </c>
      <c r="B12" s="84"/>
      <c r="C12" s="84"/>
      <c r="D12" s="84"/>
      <c r="E12" s="84"/>
    </row>
    <row r="13" spans="1:5" x14ac:dyDescent="0.25">
      <c r="A13" s="85" t="s">
        <v>105</v>
      </c>
      <c r="B13" s="86"/>
      <c r="C13" s="86"/>
      <c r="D13" s="86"/>
      <c r="E13" s="87"/>
    </row>
    <row r="14" spans="1:5" x14ac:dyDescent="0.25">
      <c r="A14" s="88"/>
      <c r="B14" s="89"/>
      <c r="C14" s="89"/>
      <c r="D14" s="89"/>
      <c r="E14" s="87"/>
    </row>
    <row r="15" spans="1:5" ht="126" customHeight="1" x14ac:dyDescent="0.25">
      <c r="A15" s="90"/>
      <c r="B15" s="91"/>
      <c r="C15" s="91"/>
      <c r="D15" s="91"/>
      <c r="E15" s="92"/>
    </row>
    <row r="16" spans="1:5" x14ac:dyDescent="0.25">
      <c r="A16" s="31"/>
      <c r="B16" s="31"/>
      <c r="C16" s="31"/>
      <c r="D16" s="31"/>
      <c r="E16" s="31"/>
    </row>
  </sheetData>
  <mergeCells count="10">
    <mergeCell ref="A1:E1"/>
    <mergeCell ref="A2:E2"/>
    <mergeCell ref="A3:E3"/>
    <mergeCell ref="A5:E5"/>
    <mergeCell ref="A6:E6"/>
    <mergeCell ref="A11:E11"/>
    <mergeCell ref="A12:E12"/>
    <mergeCell ref="A13:E15"/>
    <mergeCell ref="A8:E8"/>
    <mergeCell ref="A9:E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showGridLines="0" zoomScaleNormal="100" workbookViewId="0">
      <selection activeCell="H12" sqref="H12"/>
    </sheetView>
  </sheetViews>
  <sheetFormatPr defaultRowHeight="15" x14ac:dyDescent="0.25"/>
  <cols>
    <col min="1" max="1" width="50.42578125" customWidth="1"/>
    <col min="2" max="3" width="14.7109375" customWidth="1"/>
    <col min="4" max="5" width="14.140625" customWidth="1"/>
    <col min="6" max="1025" width="8.7109375" customWidth="1"/>
  </cols>
  <sheetData>
    <row r="1" spans="1:5" x14ac:dyDescent="0.25">
      <c r="A1" s="75" t="s">
        <v>0</v>
      </c>
      <c r="B1" s="75"/>
      <c r="C1" s="75"/>
      <c r="D1" s="75"/>
      <c r="E1" s="75"/>
    </row>
    <row r="2" spans="1:5" x14ac:dyDescent="0.25">
      <c r="A2" s="75" t="s">
        <v>1</v>
      </c>
      <c r="B2" s="75"/>
      <c r="C2" s="75"/>
      <c r="D2" s="75"/>
      <c r="E2" s="75"/>
    </row>
    <row r="3" spans="1:5" x14ac:dyDescent="0.25">
      <c r="A3" s="75" t="s">
        <v>2</v>
      </c>
      <c r="B3" s="75"/>
      <c r="C3" s="75"/>
      <c r="D3" s="75"/>
      <c r="E3" s="75"/>
    </row>
    <row r="5" spans="1:5" x14ac:dyDescent="0.25">
      <c r="A5" s="76" t="s">
        <v>3</v>
      </c>
      <c r="B5" s="76"/>
      <c r="C5" s="76"/>
      <c r="D5" s="76"/>
      <c r="E5" s="76"/>
    </row>
    <row r="6" spans="1:5" x14ac:dyDescent="0.25">
      <c r="A6" s="77" t="s">
        <v>75</v>
      </c>
      <c r="B6" s="77"/>
      <c r="C6" s="77"/>
      <c r="D6" s="77"/>
      <c r="E6" s="77"/>
    </row>
    <row r="7" spans="1:5" ht="16.5" customHeight="1" x14ac:dyDescent="0.25"/>
    <row r="8" spans="1:5" x14ac:dyDescent="0.25">
      <c r="A8" s="93" t="s">
        <v>75</v>
      </c>
      <c r="B8" s="93"/>
      <c r="C8" s="93"/>
      <c r="D8" s="93"/>
      <c r="E8" s="93"/>
    </row>
    <row r="9" spans="1:5" ht="82.5" customHeight="1" x14ac:dyDescent="0.25">
      <c r="A9" s="81" t="s">
        <v>106</v>
      </c>
      <c r="B9" s="98"/>
      <c r="C9" s="98"/>
      <c r="D9" s="98"/>
      <c r="E9" s="99"/>
    </row>
    <row r="10" spans="1:5" x14ac:dyDescent="0.25">
      <c r="A10" s="25"/>
      <c r="B10" s="26"/>
      <c r="C10" s="26"/>
      <c r="D10" s="26"/>
      <c r="E10" s="27"/>
    </row>
    <row r="11" spans="1:5" ht="102.75" customHeight="1" x14ac:dyDescent="0.25">
      <c r="A11" s="95" t="s">
        <v>110</v>
      </c>
      <c r="B11" s="96"/>
      <c r="C11" s="96"/>
      <c r="D11" s="96"/>
      <c r="E11" s="97"/>
    </row>
    <row r="12" spans="1:5" x14ac:dyDescent="0.25">
      <c r="A12" s="28"/>
      <c r="B12" s="29"/>
      <c r="C12" s="29"/>
      <c r="D12" s="29"/>
      <c r="E12" s="30"/>
    </row>
    <row r="14" spans="1:5" x14ac:dyDescent="0.25">
      <c r="A14" s="31"/>
      <c r="B14" s="31"/>
      <c r="C14" s="31"/>
      <c r="D14" s="31"/>
      <c r="E14" s="31"/>
    </row>
  </sheetData>
  <mergeCells count="8">
    <mergeCell ref="A11:E11"/>
    <mergeCell ref="A8:E8"/>
    <mergeCell ref="A9:E9"/>
    <mergeCell ref="A1:E1"/>
    <mergeCell ref="A2:E2"/>
    <mergeCell ref="A3:E3"/>
    <mergeCell ref="A5:E5"/>
    <mergeCell ref="A6:E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showGridLines="0" topLeftCell="C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3" width="60.85546875" customWidth="1"/>
    <col min="4" max="4" width="40.140625" customWidth="1"/>
    <col min="5" max="5" width="10.140625" customWidth="1"/>
    <col min="6" max="6" width="12.140625" customWidth="1"/>
    <col min="7" max="1025" width="8.7109375" customWidth="1"/>
  </cols>
  <sheetData>
    <row r="1" spans="1:6" ht="23.25" x14ac:dyDescent="0.35">
      <c r="A1" s="32" t="s">
        <v>76</v>
      </c>
    </row>
    <row r="2" spans="1:6" ht="21" x14ac:dyDescent="0.35">
      <c r="A2" s="33" t="s">
        <v>77</v>
      </c>
    </row>
    <row r="3" spans="1:6" ht="21" x14ac:dyDescent="0.35">
      <c r="A3" s="33" t="s">
        <v>78</v>
      </c>
    </row>
    <row r="4" spans="1:6" ht="21" x14ac:dyDescent="0.35">
      <c r="A4" s="33"/>
    </row>
    <row r="5" spans="1:6" x14ac:dyDescent="0.25">
      <c r="A5" s="34" t="s">
        <v>79</v>
      </c>
      <c r="B5" s="34" t="s">
        <v>80</v>
      </c>
      <c r="C5" s="34" t="s">
        <v>81</v>
      </c>
      <c r="D5" s="35" t="s">
        <v>82</v>
      </c>
      <c r="E5" s="35" t="s">
        <v>83</v>
      </c>
      <c r="F5" s="35" t="s">
        <v>84</v>
      </c>
    </row>
    <row r="6" spans="1:6" ht="25.5" customHeight="1" x14ac:dyDescent="0.25">
      <c r="A6" s="100">
        <v>5</v>
      </c>
      <c r="B6" s="101" t="s">
        <v>85</v>
      </c>
      <c r="C6" s="102" t="s">
        <v>86</v>
      </c>
      <c r="D6" s="1" t="s">
        <v>87</v>
      </c>
      <c r="E6" s="36">
        <v>43647</v>
      </c>
      <c r="F6" s="37">
        <v>44043</v>
      </c>
    </row>
    <row r="7" spans="1:6" ht="25.5" customHeight="1" x14ac:dyDescent="0.25">
      <c r="A7" s="100"/>
      <c r="B7" s="101"/>
      <c r="C7" s="102"/>
      <c r="D7" s="1" t="s">
        <v>88</v>
      </c>
      <c r="E7" s="36">
        <v>43647</v>
      </c>
      <c r="F7" s="37">
        <v>44043</v>
      </c>
    </row>
    <row r="8" spans="1:6" x14ac:dyDescent="0.25">
      <c r="A8" s="100"/>
      <c r="B8" s="101"/>
      <c r="C8" s="102"/>
      <c r="D8" s="38" t="s">
        <v>89</v>
      </c>
      <c r="E8" s="36">
        <v>43647</v>
      </c>
      <c r="F8" s="37">
        <v>45504</v>
      </c>
    </row>
    <row r="9" spans="1:6" ht="25.5" customHeight="1" x14ac:dyDescent="0.25">
      <c r="A9" s="100"/>
      <c r="B9" s="101"/>
      <c r="C9" s="102"/>
      <c r="D9" s="1" t="s">
        <v>90</v>
      </c>
      <c r="E9" s="36">
        <v>43647</v>
      </c>
      <c r="F9" s="37">
        <v>45504</v>
      </c>
    </row>
  </sheetData>
  <mergeCells count="3">
    <mergeCell ref="A6:A9"/>
    <mergeCell ref="B6:B9"/>
    <mergeCell ref="C6:C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29F5-E160-4360-B643-D5833C68D252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Síntese Biblioteca </vt:lpstr>
      <vt:lpstr>Acervo</vt:lpstr>
      <vt:lpstr>Circulação</vt:lpstr>
      <vt:lpstr>Capacitação</vt:lpstr>
      <vt:lpstr>Atualização e Desenvolvimento </vt:lpstr>
      <vt:lpstr>Contingência</vt:lpstr>
      <vt:lpstr>PDI 2019-2024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UNIR</cp:lastModifiedBy>
  <cp:revision>1</cp:revision>
  <dcterms:created xsi:type="dcterms:W3CDTF">2021-12-10T03:08:01Z</dcterms:created>
  <dcterms:modified xsi:type="dcterms:W3CDTF">2022-12-30T19:29:41Z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